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I:\User_Groups_Only\113_WE_England_IQD\Teams\Marketing\Current\2023 Website Project\Downloadable documents\checked App Notes\August 2024\"/>
    </mc:Choice>
  </mc:AlternateContent>
  <xr:revisionPtr revIDLastSave="0" documentId="13_ncr:1_{D44582BB-7F46-4C7D-8E52-82E3FA03ADF5}" xr6:coauthVersionLast="47" xr6:coauthVersionMax="47" xr10:uidLastSave="{00000000-0000-0000-0000-000000000000}"/>
  <bookViews>
    <workbookView xWindow="-120" yWindow="-120" windowWidth="29040" windowHeight="15840" xr2:uid="{00000000-000D-0000-FFFF-FFFF00000000}"/>
  </bookViews>
  <sheets>
    <sheet name="PN to Jitter " sheetId="5" r:id="rId1"/>
    <sheet name="Example"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7" l="1"/>
  <c r="N23" i="7"/>
  <c r="F23" i="7"/>
  <c r="G23" i="7" s="1"/>
  <c r="E23" i="7"/>
  <c r="H23" i="7" s="1"/>
  <c r="N22" i="7"/>
  <c r="F22" i="7"/>
  <c r="G22" i="7" s="1"/>
  <c r="E22" i="7"/>
  <c r="H22" i="7" s="1"/>
  <c r="N19" i="7"/>
  <c r="H19" i="7"/>
  <c r="F19" i="7"/>
  <c r="G19" i="7" s="1"/>
  <c r="C19" i="7"/>
  <c r="B18" i="7" s="1"/>
  <c r="B19" i="7"/>
  <c r="N18" i="7"/>
  <c r="H18" i="7"/>
  <c r="F18" i="7"/>
  <c r="G18" i="7" s="1"/>
  <c r="C18" i="7"/>
  <c r="B17" i="7" s="1"/>
  <c r="N17" i="7"/>
  <c r="H17" i="7"/>
  <c r="F17" i="7"/>
  <c r="G17" i="7" s="1"/>
  <c r="C17" i="7"/>
  <c r="B16" i="7" s="1"/>
  <c r="N16" i="7"/>
  <c r="H16" i="7"/>
  <c r="F16" i="7"/>
  <c r="G16" i="7" s="1"/>
  <c r="C16" i="7"/>
  <c r="B15" i="7" s="1"/>
  <c r="N15" i="7"/>
  <c r="H15" i="7"/>
  <c r="F15" i="7"/>
  <c r="G15" i="7" s="1"/>
  <c r="C15" i="7"/>
  <c r="B14" i="7" s="1"/>
  <c r="N14" i="7"/>
  <c r="H14" i="7"/>
  <c r="F14" i="7"/>
  <c r="G14" i="7" s="1"/>
  <c r="C14" i="7"/>
  <c r="B13" i="7" s="1"/>
  <c r="N13" i="7"/>
  <c r="H13" i="7"/>
  <c r="F13" i="7"/>
  <c r="G13" i="7" s="1"/>
  <c r="C13" i="7"/>
  <c r="B12" i="7" s="1"/>
  <c r="N12" i="7"/>
  <c r="C12" i="7"/>
  <c r="C26" i="7" s="1"/>
  <c r="O5" i="7"/>
  <c r="B19" i="5"/>
  <c r="C19" i="5"/>
  <c r="B18" i="5" s="1"/>
  <c r="C13" i="5"/>
  <c r="B12" i="5" s="1"/>
  <c r="C27" i="5" s="1"/>
  <c r="C14" i="5"/>
  <c r="B13" i="5" s="1"/>
  <c r="C15" i="5"/>
  <c r="B14" i="5" s="1"/>
  <c r="C16" i="5"/>
  <c r="B15" i="5" s="1"/>
  <c r="C17" i="5"/>
  <c r="B16" i="5" s="1"/>
  <c r="C18" i="5"/>
  <c r="B17" i="5" s="1"/>
  <c r="C12" i="5"/>
  <c r="C26" i="5" s="1"/>
  <c r="N12" i="5"/>
  <c r="F22" i="5"/>
  <c r="C25" i="5"/>
  <c r="C27" i="7" l="1"/>
  <c r="I13" i="7"/>
  <c r="J13" i="7" s="1"/>
  <c r="K13" i="7" s="1"/>
  <c r="L13" i="7" s="1"/>
  <c r="M13" i="7" s="1"/>
  <c r="I14" i="7"/>
  <c r="J14" i="7" s="1"/>
  <c r="K14" i="7" s="1"/>
  <c r="L14" i="7" s="1"/>
  <c r="M14" i="7" s="1"/>
  <c r="I17" i="7"/>
  <c r="J17" i="7" s="1"/>
  <c r="K17" i="7" s="1"/>
  <c r="L17" i="7" s="1"/>
  <c r="M17" i="7" s="1"/>
  <c r="I18" i="7"/>
  <c r="J18" i="7" s="1"/>
  <c r="K18" i="7" s="1"/>
  <c r="L18" i="7" s="1"/>
  <c r="M18" i="7" s="1"/>
  <c r="I19" i="7"/>
  <c r="J19" i="7" s="1"/>
  <c r="K19" i="7" s="1"/>
  <c r="L19" i="7" s="1"/>
  <c r="M19" i="7" s="1"/>
  <c r="I16" i="7"/>
  <c r="J16" i="7" s="1"/>
  <c r="K16" i="7" s="1"/>
  <c r="L16" i="7" s="1"/>
  <c r="M16" i="7" s="1"/>
  <c r="I22" i="7"/>
  <c r="J22" i="7" s="1"/>
  <c r="K22" i="7" s="1"/>
  <c r="L22" i="7" s="1"/>
  <c r="M22" i="7" s="1"/>
  <c r="I23" i="7"/>
  <c r="J23" i="7" s="1"/>
  <c r="K23" i="7" s="1"/>
  <c r="L23" i="7" s="1"/>
  <c r="M23" i="7" s="1"/>
  <c r="I15" i="7"/>
  <c r="J15" i="7" s="1"/>
  <c r="K15" i="7" s="1"/>
  <c r="L15" i="7" s="1"/>
  <c r="M15" i="7" s="1"/>
  <c r="E23" i="5"/>
  <c r="E22" i="5"/>
  <c r="H22" i="5" s="1"/>
  <c r="H14" i="5"/>
  <c r="G22" i="5"/>
  <c r="F16" i="5"/>
  <c r="F17" i="5"/>
  <c r="F23" i="5"/>
  <c r="N23" i="5"/>
  <c r="K26" i="7" l="1"/>
  <c r="K28" i="7" s="1"/>
  <c r="F13" i="5"/>
  <c r="G13" i="5" s="1"/>
  <c r="H13" i="5"/>
  <c r="F14" i="5"/>
  <c r="G14" i="5" s="1"/>
  <c r="N13" i="5"/>
  <c r="I22" i="5"/>
  <c r="J22" i="5" s="1"/>
  <c r="K22" i="5" s="1"/>
  <c r="H23" i="5"/>
  <c r="N22" i="5"/>
  <c r="G23" i="5"/>
  <c r="H17" i="5"/>
  <c r="H16" i="5"/>
  <c r="F15" i="5"/>
  <c r="G15" i="5" s="1"/>
  <c r="N14" i="5"/>
  <c r="N16" i="5"/>
  <c r="N15" i="5"/>
  <c r="N17" i="5"/>
  <c r="N18" i="5"/>
  <c r="N19" i="5"/>
  <c r="H15" i="5"/>
  <c r="H18" i="5"/>
  <c r="H19" i="5"/>
  <c r="F19" i="5"/>
  <c r="G19" i="5" s="1"/>
  <c r="F18" i="5"/>
  <c r="G18" i="5" s="1"/>
  <c r="G17" i="5"/>
  <c r="G16" i="5"/>
  <c r="O5" i="5"/>
  <c r="I15" i="5" l="1"/>
  <c r="J15" i="5" s="1"/>
  <c r="L22" i="5"/>
  <c r="I13" i="5"/>
  <c r="J13" i="5" s="1"/>
  <c r="K13" i="5" s="1"/>
  <c r="L13" i="5" s="1"/>
  <c r="M13" i="5" s="1"/>
  <c r="I19" i="5"/>
  <c r="J19" i="5" s="1"/>
  <c r="K19" i="5" s="1"/>
  <c r="L19" i="5" s="1"/>
  <c r="M19" i="5" s="1"/>
  <c r="I14" i="5"/>
  <c r="J14" i="5" s="1"/>
  <c r="K14" i="5" s="1"/>
  <c r="L14" i="5" s="1"/>
  <c r="M14" i="5" s="1"/>
  <c r="I18" i="5"/>
  <c r="J18" i="5" s="1"/>
  <c r="K18" i="5" s="1"/>
  <c r="L18" i="5" s="1"/>
  <c r="M18" i="5" s="1"/>
  <c r="I23" i="5"/>
  <c r="J23" i="5" s="1"/>
  <c r="K23" i="5" s="1"/>
  <c r="L23" i="5" s="1"/>
  <c r="M23" i="5" s="1"/>
  <c r="I16" i="5"/>
  <c r="J16" i="5" s="1"/>
  <c r="K16" i="5" s="1"/>
  <c r="L16" i="5" s="1"/>
  <c r="M16" i="5" s="1"/>
  <c r="I17" i="5"/>
  <c r="K15" i="5" l="1"/>
  <c r="L15" i="5" s="1"/>
  <c r="M15" i="5" s="1"/>
  <c r="J17" i="5"/>
  <c r="K17" i="5" s="1"/>
  <c r="L17" i="5" s="1"/>
  <c r="M17" i="5" s="1"/>
  <c r="M22" i="5"/>
  <c r="K26" i="5" s="1"/>
  <c r="K2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peter.foote</author>
  </authors>
  <commentList>
    <comment ref="H9" authorId="0" shapeId="0" xr:uid="{00000000-0006-0000-0000-000001000000}">
      <text>
        <r>
          <rPr>
            <sz val="9"/>
            <color indexed="81"/>
            <rFont val="Tahoma"/>
            <family val="2"/>
          </rPr>
          <t>Assumes a straight line between measured points.</t>
        </r>
      </text>
    </comment>
    <comment ref="I9" authorId="0" shapeId="0" xr:uid="{00000000-0006-0000-0000-000002000000}">
      <text>
        <r>
          <rPr>
            <sz val="9"/>
            <color indexed="81"/>
            <rFont val="Tahoma"/>
            <family val="2"/>
          </rPr>
          <t>Phase Noise + Integrated phase noise over measured bandwidth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peter.foote</author>
  </authors>
  <commentList>
    <comment ref="H9" authorId="0" shapeId="0" xr:uid="{00000000-0006-0000-0100-000001000000}">
      <text>
        <r>
          <rPr>
            <sz val="9"/>
            <color indexed="81"/>
            <rFont val="Tahoma"/>
            <family val="2"/>
          </rPr>
          <t>Assumes a straight line between measured points.</t>
        </r>
      </text>
    </comment>
    <comment ref="I9" authorId="0" shapeId="0" xr:uid="{00000000-0006-0000-0100-000002000000}">
      <text>
        <r>
          <rPr>
            <sz val="9"/>
            <color indexed="81"/>
            <rFont val="Tahoma"/>
            <family val="2"/>
          </rPr>
          <t>Phase Noise + Integrated phase noise over measured bandwidth</t>
        </r>
      </text>
    </comment>
  </commentList>
</comments>
</file>

<file path=xl/sharedStrings.xml><?xml version="1.0" encoding="utf-8"?>
<sst xmlns="http://schemas.openxmlformats.org/spreadsheetml/2006/main" count="80" uniqueCount="32">
  <si>
    <t>Frequency</t>
  </si>
  <si>
    <t>Hz</t>
  </si>
  <si>
    <t>Difference</t>
  </si>
  <si>
    <t>fs</t>
  </si>
  <si>
    <t>ps</t>
  </si>
  <si>
    <t>Phase Noise</t>
  </si>
  <si>
    <t>Jitter</t>
  </si>
  <si>
    <t>Jitter^2</t>
  </si>
  <si>
    <t>Radians</t>
  </si>
  <si>
    <t>CALCULATION OF PHASE JITTER USING PHASE NOISE DATA</t>
  </si>
  <si>
    <t>Enter Oscillator Frequency</t>
  </si>
  <si>
    <t xml:space="preserve">Enter </t>
  </si>
  <si>
    <t>Enter Measured</t>
  </si>
  <si>
    <t>Offset [Hz]</t>
  </si>
  <si>
    <t>[dBc/Hz]</t>
  </si>
  <si>
    <t>Stop</t>
  </si>
  <si>
    <t>Start</t>
  </si>
  <si>
    <t xml:space="preserve">Include in </t>
  </si>
  <si>
    <t>Calc</t>
  </si>
  <si>
    <t>[dBc]</t>
  </si>
  <si>
    <t>[dB]</t>
  </si>
  <si>
    <t>[s]</t>
  </si>
  <si>
    <t>[ps]</t>
  </si>
  <si>
    <t>[pS^2]</t>
  </si>
  <si>
    <t xml:space="preserve">Phase Noise </t>
  </si>
  <si>
    <t>Average</t>
  </si>
  <si>
    <t>[Hz]</t>
  </si>
  <si>
    <t>Integrated</t>
  </si>
  <si>
    <t xml:space="preserve">Intergration Bandwidth </t>
  </si>
  <si>
    <t>Total RMS Phase Jitter</t>
  </si>
  <si>
    <t xml:space="preserve">In this example, it can be seen that there is a difference between the calculated jitter from the seven data points on the spreadsheet vs the calculated jitter from the full phase noise plot observed on an E5052 measurement system. 
This offset is caused by the assumption of a straight line between the measured points in the calculation.  
It is interesting to observe the effect of changing phase noise values by one or 2 dBc/Hz. This is a variation which is commonly observed on repeating measurements when using phase noise measurement instruments. In particular, if the averaging and cross correlation windows are optimised for short measurement time. </t>
  </si>
  <si>
    <t>Adjust the values in cells D1 to E19. Do not leave gaps in the rows. 
The Start and Stop values of the Intergration bandwidth must be within the minimum and maximum values of the data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</si>
</sst>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E+00"/>
    <numFmt numFmtId="165" formatCode="0.000"/>
    <numFmt numFmtId="166" formatCode="0.000000"/>
  </numFmts>
  <fonts count="8" x14ac:knownFonts="1">
    <font>
      <sz val="11"/>
      <color theme="1"/>
      <name val="Calibri"/>
      <family val="2"/>
      <scheme val="minor"/>
    </font>
    <font>
      <b/>
      <sz val="11"/>
      <color theme="1"/>
      <name val="Calibri"/>
      <family val="2"/>
      <scheme val="minor"/>
    </font>
    <font>
      <sz val="9"/>
      <color indexed="81"/>
      <name val="Tahoma"/>
      <family val="2"/>
    </font>
    <font>
      <b/>
      <u/>
      <sz val="18"/>
      <color theme="1"/>
      <name val="Calibri"/>
      <family val="2"/>
      <scheme val="minor"/>
    </font>
    <font>
      <b/>
      <sz val="18"/>
      <color theme="1"/>
      <name val="Calibri"/>
      <family val="2"/>
      <scheme val="minor"/>
    </font>
    <font>
      <sz val="11"/>
      <color rgb="FFFF0000"/>
      <name val="Calibri"/>
      <family val="2"/>
      <scheme val="minor"/>
    </font>
    <font>
      <sz val="11"/>
      <color theme="2"/>
      <name val="Calibri"/>
      <family val="2"/>
      <scheme val="minor"/>
    </font>
    <font>
      <sz val="11"/>
      <color theme="4" tint="0.59999389629810485"/>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0" fillId="2" borderId="0" xfId="0" applyFill="1"/>
    <xf numFmtId="0" fontId="0" fillId="2" borderId="0" xfId="0" applyFill="1" applyAlignment="1">
      <alignment horizontal="center" vertical="center"/>
    </xf>
    <xf numFmtId="0" fontId="0" fillId="2" borderId="0" xfId="0" applyFill="1" applyAlignment="1">
      <alignment horizontal="center"/>
    </xf>
    <xf numFmtId="0" fontId="1" fillId="2" borderId="0" xfId="0" applyFont="1" applyFill="1" applyAlignment="1">
      <alignment horizontal="center"/>
    </xf>
    <xf numFmtId="0" fontId="1" fillId="2" borderId="0" xfId="0" applyFont="1" applyFill="1"/>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2" borderId="4" xfId="0" applyFill="1" applyBorder="1"/>
    <xf numFmtId="0" fontId="0" fillId="2" borderId="2" xfId="0" applyFill="1" applyBorder="1"/>
    <xf numFmtId="0" fontId="0" fillId="2" borderId="2" xfId="0" applyFill="1" applyBorder="1" applyAlignment="1">
      <alignment horizontal="center" vertical="center"/>
    </xf>
    <xf numFmtId="0" fontId="0" fillId="2" borderId="2" xfId="0" applyFill="1" applyBorder="1" applyAlignment="1">
      <alignment horizontal="center"/>
    </xf>
    <xf numFmtId="165" fontId="0" fillId="2" borderId="3" xfId="0" applyNumberFormat="1" applyFill="1" applyBorder="1" applyAlignment="1">
      <alignment horizontal="center"/>
    </xf>
    <xf numFmtId="2" fontId="0" fillId="2" borderId="3" xfId="0" applyNumberFormat="1" applyFill="1" applyBorder="1" applyAlignment="1">
      <alignment horizontal="center"/>
    </xf>
    <xf numFmtId="164" fontId="0" fillId="2" borderId="3" xfId="0" applyNumberFormat="1" applyFill="1" applyBorder="1"/>
    <xf numFmtId="0" fontId="0" fillId="2" borderId="3" xfId="0" applyFill="1" applyBorder="1" applyAlignment="1">
      <alignment horizontal="center" vertical="center"/>
    </xf>
    <xf numFmtId="11" fontId="0" fillId="2" borderId="3" xfId="0" applyNumberFormat="1" applyFill="1" applyBorder="1" applyAlignment="1">
      <alignment horizontal="center"/>
    </xf>
    <xf numFmtId="165" fontId="0" fillId="2" borderId="4" xfId="0" applyNumberFormat="1" applyFill="1" applyBorder="1" applyAlignment="1">
      <alignment horizontal="center"/>
    </xf>
    <xf numFmtId="2" fontId="0" fillId="2" borderId="4" xfId="0" applyNumberFormat="1" applyFill="1" applyBorder="1" applyAlignment="1">
      <alignment horizontal="center"/>
    </xf>
    <xf numFmtId="164" fontId="0" fillId="2" borderId="4" xfId="0" applyNumberFormat="1" applyFill="1" applyBorder="1"/>
    <xf numFmtId="0" fontId="0" fillId="2" borderId="4" xfId="0" applyFill="1" applyBorder="1" applyAlignment="1">
      <alignment horizontal="center" vertical="center"/>
    </xf>
    <xf numFmtId="11" fontId="0" fillId="2" borderId="4" xfId="0" applyNumberFormat="1" applyFill="1" applyBorder="1" applyAlignment="1">
      <alignment horizontal="center"/>
    </xf>
    <xf numFmtId="11" fontId="0" fillId="2" borderId="0" xfId="0" applyNumberFormat="1" applyFill="1" applyAlignment="1">
      <alignment horizontal="center"/>
    </xf>
    <xf numFmtId="0" fontId="1" fillId="3" borderId="2" xfId="0" applyFont="1" applyFill="1" applyBorder="1" applyAlignment="1">
      <alignment horizontal="center"/>
    </xf>
    <xf numFmtId="0" fontId="1" fillId="3" borderId="2" xfId="0" applyFont="1" applyFill="1" applyBorder="1" applyAlignment="1">
      <alignment horizontal="center" vertical="center"/>
    </xf>
    <xf numFmtId="0" fontId="1" fillId="3" borderId="3" xfId="0" applyFont="1" applyFill="1" applyBorder="1" applyAlignment="1">
      <alignment horizontal="center"/>
    </xf>
    <xf numFmtId="0" fontId="1" fillId="3" borderId="3" xfId="0" applyFont="1" applyFill="1" applyBorder="1" applyAlignment="1">
      <alignment horizontal="center" vertical="center"/>
    </xf>
    <xf numFmtId="0" fontId="0" fillId="3" borderId="4" xfId="0" applyFill="1" applyBorder="1"/>
    <xf numFmtId="0" fontId="0" fillId="3" borderId="4" xfId="0" applyFill="1" applyBorder="1" applyAlignment="1">
      <alignment horizontal="center"/>
    </xf>
    <xf numFmtId="0" fontId="1" fillId="3" borderId="4" xfId="0" applyFont="1" applyFill="1" applyBorder="1" applyAlignment="1">
      <alignment horizontal="center" vertical="center"/>
    </xf>
    <xf numFmtId="0" fontId="1" fillId="3" borderId="4" xfId="0" applyFont="1" applyFill="1" applyBorder="1" applyAlignment="1">
      <alignment horizontal="center"/>
    </xf>
    <xf numFmtId="0" fontId="1" fillId="3" borderId="0" xfId="0" applyFont="1" applyFill="1" applyAlignment="1">
      <alignment horizontal="right" vertical="center"/>
    </xf>
    <xf numFmtId="0" fontId="1" fillId="3" borderId="0" xfId="0" applyFont="1" applyFill="1"/>
    <xf numFmtId="2" fontId="1" fillId="3" borderId="1" xfId="0" applyNumberFormat="1" applyFont="1" applyFill="1" applyBorder="1" applyAlignment="1">
      <alignment horizontal="center"/>
    </xf>
    <xf numFmtId="0" fontId="1" fillId="3" borderId="1" xfId="0" applyFont="1" applyFill="1" applyBorder="1" applyAlignment="1">
      <alignment horizontal="right" vertical="center"/>
    </xf>
    <xf numFmtId="0" fontId="1" fillId="3" borderId="1" xfId="0" applyFont="1" applyFill="1" applyBorder="1" applyAlignment="1">
      <alignment horizontal="right"/>
    </xf>
    <xf numFmtId="3" fontId="0" fillId="4" borderId="2" xfId="0" applyNumberFormat="1" applyFill="1" applyBorder="1" applyProtection="1">
      <protection locked="0"/>
    </xf>
    <xf numFmtId="3" fontId="0" fillId="4" borderId="3" xfId="0" applyNumberFormat="1" applyFill="1" applyBorder="1" applyProtection="1">
      <protection locked="0"/>
    </xf>
    <xf numFmtId="3" fontId="0" fillId="4" borderId="4" xfId="0" applyNumberFormat="1" applyFill="1" applyBorder="1" applyProtection="1">
      <protection locked="0"/>
    </xf>
    <xf numFmtId="3" fontId="0" fillId="4" borderId="1" xfId="0" applyNumberFormat="1" applyFill="1" applyBorder="1" applyProtection="1">
      <protection locked="0"/>
    </xf>
    <xf numFmtId="3" fontId="0" fillId="2" borderId="3" xfId="0" applyNumberFormat="1" applyFill="1" applyBorder="1"/>
    <xf numFmtId="3" fontId="0" fillId="2" borderId="2" xfId="0" applyNumberFormat="1" applyFill="1" applyBorder="1"/>
    <xf numFmtId="3" fontId="0" fillId="2" borderId="4" xfId="0" applyNumberFormat="1" applyFill="1" applyBorder="1"/>
    <xf numFmtId="166" fontId="1" fillId="3" borderId="1" xfId="0" applyNumberFormat="1" applyFont="1" applyFill="1" applyBorder="1" applyAlignment="1">
      <alignment horizontal="center"/>
    </xf>
    <xf numFmtId="4" fontId="0" fillId="4" borderId="2" xfId="0" applyNumberFormat="1" applyFill="1" applyBorder="1" applyProtection="1">
      <protection locked="0"/>
    </xf>
    <xf numFmtId="4" fontId="0" fillId="4" borderId="3" xfId="0" applyNumberFormat="1" applyFill="1" applyBorder="1" applyProtection="1">
      <protection locked="0"/>
    </xf>
    <xf numFmtId="4" fontId="0" fillId="4" borderId="4" xfId="0" applyNumberFormat="1" applyFill="1" applyBorder="1" applyProtection="1">
      <protection locked="0"/>
    </xf>
    <xf numFmtId="164" fontId="0" fillId="2" borderId="3" xfId="0" applyNumberFormat="1" applyFill="1" applyBorder="1" applyAlignment="1">
      <alignment horizontal="center" vertical="center"/>
    </xf>
    <xf numFmtId="3" fontId="0" fillId="2" borderId="1" xfId="0" applyNumberFormat="1" applyFill="1" applyBorder="1"/>
    <xf numFmtId="164" fontId="0" fillId="2" borderId="1" xfId="0" applyNumberFormat="1" applyFill="1" applyBorder="1"/>
    <xf numFmtId="164" fontId="0" fillId="2" borderId="1" xfId="0" applyNumberFormat="1" applyFill="1" applyBorder="1" applyAlignment="1">
      <alignment horizontal="center" vertical="center"/>
    </xf>
    <xf numFmtId="11" fontId="0" fillId="2" borderId="1" xfId="0" applyNumberFormat="1" applyFill="1" applyBorder="1" applyAlignment="1">
      <alignment horizontal="center"/>
    </xf>
    <xf numFmtId="0" fontId="0" fillId="2" borderId="1" xfId="0" applyFill="1" applyBorder="1" applyAlignment="1">
      <alignment horizontal="center" vertical="center"/>
    </xf>
    <xf numFmtId="3" fontId="0" fillId="4" borderId="1" xfId="0" applyNumberFormat="1" applyFill="1" applyBorder="1" applyAlignment="1" applyProtection="1">
      <alignment horizontal="center"/>
      <protection locked="0"/>
    </xf>
    <xf numFmtId="0" fontId="5" fillId="2" borderId="0" xfId="0" applyFont="1" applyFill="1"/>
    <xf numFmtId="4" fontId="0" fillId="2" borderId="1" xfId="0" applyNumberFormat="1" applyFill="1" applyBorder="1"/>
    <xf numFmtId="0" fontId="6" fillId="2" borderId="0" xfId="0" applyFont="1" applyFill="1"/>
    <xf numFmtId="0" fontId="7" fillId="3" borderId="2" xfId="0" applyFont="1" applyFill="1" applyBorder="1"/>
    <xf numFmtId="0" fontId="7" fillId="3" borderId="3" xfId="0" applyFont="1" applyFill="1" applyBorder="1"/>
    <xf numFmtId="0" fontId="7" fillId="3" borderId="4" xfId="0" applyFont="1" applyFill="1" applyBorder="1"/>
    <xf numFmtId="0" fontId="3" fillId="2" borderId="0" xfId="0" applyFont="1" applyFill="1" applyAlignment="1">
      <alignment horizontal="center"/>
    </xf>
    <xf numFmtId="0" fontId="4" fillId="2" borderId="0" xfId="0" applyFont="1" applyFill="1" applyAlignment="1">
      <alignment horizontal="center"/>
    </xf>
    <xf numFmtId="0" fontId="0" fillId="2" borderId="0" xfId="0" applyFill="1" applyAlignment="1">
      <alignment horizontal="left" vertical="top" wrapText="1"/>
    </xf>
    <xf numFmtId="0" fontId="0" fillId="2" borderId="0" xfId="0" applyFill="1" applyAlignment="1">
      <alignment horizontal="left" vertical="top"/>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Phase Noise Plot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Measured PN</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'PN to Jitter '!$D$12:$D$19</c:f>
              <c:numCache>
                <c:formatCode>#,##0</c:formatCode>
                <c:ptCount val="8"/>
                <c:pt idx="0">
                  <c:v>1</c:v>
                </c:pt>
                <c:pt idx="1">
                  <c:v>10</c:v>
                </c:pt>
                <c:pt idx="2">
                  <c:v>100</c:v>
                </c:pt>
                <c:pt idx="3">
                  <c:v>1000</c:v>
                </c:pt>
                <c:pt idx="4">
                  <c:v>10000</c:v>
                </c:pt>
                <c:pt idx="5">
                  <c:v>100000</c:v>
                </c:pt>
                <c:pt idx="6">
                  <c:v>1000000</c:v>
                </c:pt>
                <c:pt idx="7">
                  <c:v>20000000</c:v>
                </c:pt>
              </c:numCache>
            </c:numRef>
          </c:xVal>
          <c:yVal>
            <c:numRef>
              <c:f>'PN to Jitter '!$E$12:$E$19</c:f>
              <c:numCache>
                <c:formatCode>#,##0.00</c:formatCode>
                <c:ptCount val="8"/>
                <c:pt idx="0">
                  <c:v>-80</c:v>
                </c:pt>
                <c:pt idx="1">
                  <c:v>-90</c:v>
                </c:pt>
                <c:pt idx="2">
                  <c:v>-100</c:v>
                </c:pt>
                <c:pt idx="3">
                  <c:v>-110</c:v>
                </c:pt>
                <c:pt idx="4">
                  <c:v>-120</c:v>
                </c:pt>
                <c:pt idx="5">
                  <c:v>-130</c:v>
                </c:pt>
                <c:pt idx="6">
                  <c:v>-140</c:v>
                </c:pt>
                <c:pt idx="7">
                  <c:v>-150</c:v>
                </c:pt>
              </c:numCache>
            </c:numRef>
          </c:yVal>
          <c:smooth val="0"/>
          <c:extLst>
            <c:ext xmlns:c16="http://schemas.microsoft.com/office/drawing/2014/chart" uri="{C3380CC4-5D6E-409C-BE32-E72D297353CC}">
              <c16:uniqueId val="{00000000-15D2-4352-9ECB-FFD1574FCAFE}"/>
            </c:ext>
          </c:extLst>
        </c:ser>
        <c:ser>
          <c:idx val="1"/>
          <c:order val="1"/>
          <c:tx>
            <c:v>Intergration area</c:v>
          </c:tx>
          <c:spPr>
            <a:ln w="19050" cap="rnd">
              <a:solidFill>
                <a:schemeClr val="accent2"/>
              </a:solidFill>
              <a:round/>
            </a:ln>
            <a:effectLst/>
          </c:spPr>
          <c:marker>
            <c:symbol val="none"/>
          </c:marker>
          <c:xVal>
            <c:numRef>
              <c:f>'PN to Jitter '!$C$22:$C$23</c:f>
              <c:numCache>
                <c:formatCode>#,##0</c:formatCode>
                <c:ptCount val="2"/>
                <c:pt idx="0">
                  <c:v>12000</c:v>
                </c:pt>
                <c:pt idx="1">
                  <c:v>5000000</c:v>
                </c:pt>
              </c:numCache>
            </c:numRef>
          </c:xVal>
          <c:yVal>
            <c:numLit>
              <c:formatCode>General</c:formatCode>
              <c:ptCount val="2"/>
              <c:pt idx="0">
                <c:v>-200</c:v>
              </c:pt>
              <c:pt idx="1">
                <c:v>-200</c:v>
              </c:pt>
            </c:numLit>
          </c:yVal>
          <c:smooth val="0"/>
          <c:extLst>
            <c:ext xmlns:c16="http://schemas.microsoft.com/office/drawing/2014/chart" uri="{C3380CC4-5D6E-409C-BE32-E72D297353CC}">
              <c16:uniqueId val="{00000002-15D2-4352-9ECB-FFD1574FCAFE}"/>
            </c:ext>
          </c:extLst>
        </c:ser>
        <c:dLbls>
          <c:showLegendKey val="0"/>
          <c:showVal val="0"/>
          <c:showCatName val="0"/>
          <c:showSerName val="0"/>
          <c:showPercent val="0"/>
          <c:showBubbleSize val="0"/>
        </c:dLbls>
        <c:axId val="455596432"/>
        <c:axId val="455592824"/>
      </c:scatterChart>
      <c:valAx>
        <c:axId val="455596432"/>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Offset [Hz]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592824"/>
        <c:crossesAt val="-500"/>
        <c:crossBetween val="midCat"/>
      </c:valAx>
      <c:valAx>
        <c:axId val="4555928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Phase Noise [dBc/Hz]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5964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Phase Noise Plot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Measured PN</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Example!$D$12:$D$19</c:f>
              <c:numCache>
                <c:formatCode>#,##0</c:formatCode>
                <c:ptCount val="8"/>
                <c:pt idx="0">
                  <c:v>1</c:v>
                </c:pt>
                <c:pt idx="1">
                  <c:v>10</c:v>
                </c:pt>
                <c:pt idx="2">
                  <c:v>100</c:v>
                </c:pt>
                <c:pt idx="3">
                  <c:v>1000</c:v>
                </c:pt>
                <c:pt idx="4">
                  <c:v>10000</c:v>
                </c:pt>
                <c:pt idx="5">
                  <c:v>100000</c:v>
                </c:pt>
                <c:pt idx="6">
                  <c:v>1000000</c:v>
                </c:pt>
                <c:pt idx="7">
                  <c:v>20000000</c:v>
                </c:pt>
              </c:numCache>
            </c:numRef>
          </c:xVal>
          <c:yVal>
            <c:numRef>
              <c:f>Example!$E$12:$E$19</c:f>
              <c:numCache>
                <c:formatCode>#,##0.00</c:formatCode>
                <c:ptCount val="8"/>
                <c:pt idx="1">
                  <c:v>-73.5</c:v>
                </c:pt>
                <c:pt idx="2">
                  <c:v>-101.8</c:v>
                </c:pt>
                <c:pt idx="3">
                  <c:v>-125.9</c:v>
                </c:pt>
                <c:pt idx="4">
                  <c:v>-139</c:v>
                </c:pt>
                <c:pt idx="5">
                  <c:v>-145.5</c:v>
                </c:pt>
                <c:pt idx="6">
                  <c:v>-150.19999999999999</c:v>
                </c:pt>
                <c:pt idx="7">
                  <c:v>-160</c:v>
                </c:pt>
              </c:numCache>
            </c:numRef>
          </c:yVal>
          <c:smooth val="0"/>
          <c:extLst>
            <c:ext xmlns:c16="http://schemas.microsoft.com/office/drawing/2014/chart" uri="{C3380CC4-5D6E-409C-BE32-E72D297353CC}">
              <c16:uniqueId val="{00000000-2B99-4FCA-98BC-DC75E1991CDB}"/>
            </c:ext>
          </c:extLst>
        </c:ser>
        <c:ser>
          <c:idx val="1"/>
          <c:order val="1"/>
          <c:tx>
            <c:v>Intergration area</c:v>
          </c:tx>
          <c:spPr>
            <a:ln w="19050" cap="rnd">
              <a:solidFill>
                <a:schemeClr val="accent2"/>
              </a:solidFill>
              <a:round/>
            </a:ln>
            <a:effectLst/>
          </c:spPr>
          <c:marker>
            <c:symbol val="none"/>
          </c:marker>
          <c:xVal>
            <c:numRef>
              <c:f>'PN to Jitter '!$C$22:$C$23</c:f>
              <c:numCache>
                <c:formatCode>#,##0</c:formatCode>
                <c:ptCount val="2"/>
                <c:pt idx="0">
                  <c:v>12000</c:v>
                </c:pt>
                <c:pt idx="1">
                  <c:v>5000000</c:v>
                </c:pt>
              </c:numCache>
            </c:numRef>
          </c:xVal>
          <c:yVal>
            <c:numLit>
              <c:formatCode>General</c:formatCode>
              <c:ptCount val="2"/>
              <c:pt idx="0">
                <c:v>-200</c:v>
              </c:pt>
              <c:pt idx="1">
                <c:v>-200</c:v>
              </c:pt>
            </c:numLit>
          </c:yVal>
          <c:smooth val="0"/>
          <c:extLst>
            <c:ext xmlns:c16="http://schemas.microsoft.com/office/drawing/2014/chart" uri="{C3380CC4-5D6E-409C-BE32-E72D297353CC}">
              <c16:uniqueId val="{00000001-2B99-4FCA-98BC-DC75E1991CDB}"/>
            </c:ext>
          </c:extLst>
        </c:ser>
        <c:dLbls>
          <c:showLegendKey val="0"/>
          <c:showVal val="0"/>
          <c:showCatName val="0"/>
          <c:showSerName val="0"/>
          <c:showPercent val="0"/>
          <c:showBubbleSize val="0"/>
        </c:dLbls>
        <c:axId val="455596432"/>
        <c:axId val="455592824"/>
      </c:scatterChart>
      <c:valAx>
        <c:axId val="455596432"/>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Offset [Hz]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592824"/>
        <c:crossesAt val="-500"/>
        <c:crossBetween val="midCat"/>
      </c:valAx>
      <c:valAx>
        <c:axId val="4555928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Phase Noise [dBc/Hz]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5964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15</xdr:col>
      <xdr:colOff>95250</xdr:colOff>
      <xdr:row>5</xdr:row>
      <xdr:rowOff>133350</xdr:rowOff>
    </xdr:from>
    <xdr:to>
      <xdr:col>25</xdr:col>
      <xdr:colOff>9525</xdr:colOff>
      <xdr:row>32</xdr:row>
      <xdr:rowOff>133350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28575</xdr:colOff>
      <xdr:row>4</xdr:row>
      <xdr:rowOff>171450</xdr:rowOff>
    </xdr:to>
    <xdr:pic>
      <xdr:nvPicPr>
        <xdr:cNvPr id="3" name="Picture 2">
          <a:extLst>
            <a:ext uri="{FF2B5EF4-FFF2-40B4-BE49-F238E27FC236}">
              <a16:creationId xmlns:a16="http://schemas.microsoft.com/office/drawing/2014/main" id="{44B86F0D-F7FE-8A0C-DD55-46284DAD54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752600" cy="93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95250</xdr:colOff>
      <xdr:row>5</xdr:row>
      <xdr:rowOff>133350</xdr:rowOff>
    </xdr:from>
    <xdr:to>
      <xdr:col>25</xdr:col>
      <xdr:colOff>9525</xdr:colOff>
      <xdr:row>30</xdr:row>
      <xdr:rowOff>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85725</xdr:colOff>
      <xdr:row>30</xdr:row>
      <xdr:rowOff>0</xdr:rowOff>
    </xdr:from>
    <xdr:to>
      <xdr:col>25</xdr:col>
      <xdr:colOff>9526</xdr:colOff>
      <xdr:row>52</xdr:row>
      <xdr:rowOff>88702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3134975" y="6406482"/>
          <a:ext cx="6019801" cy="4279702"/>
        </a:xfrm>
        <a:prstGeom prst="rect">
          <a:avLst/>
        </a:prstGeom>
      </xdr:spPr>
    </xdr:pic>
    <xdr:clientData/>
  </xdr:twoCellAnchor>
  <xdr:twoCellAnchor editAs="oneCell">
    <xdr:from>
      <xdr:col>0</xdr:col>
      <xdr:colOff>95250</xdr:colOff>
      <xdr:row>0</xdr:row>
      <xdr:rowOff>104775</xdr:rowOff>
    </xdr:from>
    <xdr:to>
      <xdr:col>2</xdr:col>
      <xdr:colOff>59055</xdr:colOff>
      <xdr:row>3</xdr:row>
      <xdr:rowOff>36830</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50" y="104775"/>
          <a:ext cx="1687830" cy="5035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X35"/>
  <sheetViews>
    <sheetView tabSelected="1" workbookViewId="0">
      <selection activeCell="A54" sqref="A54"/>
    </sheetView>
  </sheetViews>
  <sheetFormatPr defaultRowHeight="15" x14ac:dyDescent="0.25"/>
  <cols>
    <col min="1" max="1" width="13.28515625" style="1" customWidth="1"/>
    <col min="2" max="2" width="12.5703125" style="1" customWidth="1"/>
    <col min="3" max="3" width="24.7109375" style="1" bestFit="1" customWidth="1"/>
    <col min="4" max="4" width="11.140625" style="1" customWidth="1"/>
    <col min="5" max="5" width="14.5703125" style="1" customWidth="1"/>
    <col min="6" max="7" width="13.5703125" style="1" customWidth="1"/>
    <col min="8" max="8" width="12.28515625" style="1" bestFit="1" customWidth="1"/>
    <col min="9" max="9" width="12" style="1" bestFit="1" customWidth="1"/>
    <col min="10" max="10" width="12.28515625" style="2" customWidth="1"/>
    <col min="11" max="11" width="14.28515625" style="3" customWidth="1"/>
    <col min="12" max="14" width="10.42578125" style="1" customWidth="1"/>
    <col min="15" max="15" width="10.140625" style="1" bestFit="1" customWidth="1"/>
    <col min="16" max="16384" width="9.140625" style="1"/>
  </cols>
  <sheetData>
    <row r="5" spans="1:24" s="4" customFormat="1" ht="24.75" customHeight="1" x14ac:dyDescent="0.35">
      <c r="A5" s="60" t="s">
        <v>9</v>
      </c>
      <c r="B5" s="60"/>
      <c r="C5" s="60"/>
      <c r="D5" s="60"/>
      <c r="E5" s="60"/>
      <c r="F5" s="60"/>
      <c r="G5" s="60"/>
      <c r="H5" s="60"/>
      <c r="I5" s="60"/>
      <c r="J5" s="60"/>
      <c r="K5" s="60"/>
      <c r="O5" s="61" t="str">
        <f>"PHASE NOISE PLOT"</f>
        <v>PHASE NOISE PLOT</v>
      </c>
      <c r="P5" s="61"/>
      <c r="Q5" s="61"/>
      <c r="R5" s="61"/>
      <c r="S5" s="61"/>
      <c r="T5" s="61"/>
      <c r="U5" s="61"/>
      <c r="V5" s="61"/>
      <c r="W5" s="61"/>
      <c r="X5" s="61"/>
    </row>
    <row r="6" spans="1:24" s="4" customFormat="1" x14ac:dyDescent="0.25">
      <c r="A6" s="1"/>
      <c r="B6" s="1"/>
      <c r="C6" s="1"/>
      <c r="D6" s="1"/>
      <c r="E6" s="1"/>
      <c r="F6" s="1"/>
      <c r="G6" s="1"/>
      <c r="H6" s="1"/>
      <c r="I6" s="1"/>
      <c r="J6" s="2"/>
      <c r="K6" s="3"/>
    </row>
    <row r="7" spans="1:24" x14ac:dyDescent="0.25">
      <c r="C7" s="34" t="s">
        <v>10</v>
      </c>
      <c r="D7" s="53">
        <v>48000000</v>
      </c>
      <c r="E7" s="5" t="s">
        <v>1</v>
      </c>
    </row>
    <row r="9" spans="1:24" x14ac:dyDescent="0.25">
      <c r="C9" s="6"/>
      <c r="D9" s="23" t="s">
        <v>11</v>
      </c>
      <c r="E9" s="23" t="s">
        <v>12</v>
      </c>
      <c r="F9" s="23" t="s">
        <v>2</v>
      </c>
      <c r="G9" s="23" t="s">
        <v>27</v>
      </c>
      <c r="H9" s="23" t="s">
        <v>25</v>
      </c>
      <c r="I9" s="23" t="s">
        <v>5</v>
      </c>
      <c r="J9" s="24" t="s">
        <v>6</v>
      </c>
      <c r="K9" s="24" t="s">
        <v>6</v>
      </c>
      <c r="L9" s="24" t="s">
        <v>6</v>
      </c>
      <c r="M9" s="23" t="s">
        <v>7</v>
      </c>
      <c r="N9" s="23" t="s">
        <v>17</v>
      </c>
    </row>
    <row r="10" spans="1:24" x14ac:dyDescent="0.25">
      <c r="C10" s="7"/>
      <c r="D10" s="25" t="s">
        <v>0</v>
      </c>
      <c r="E10" s="25" t="s">
        <v>5</v>
      </c>
      <c r="F10" s="25" t="s">
        <v>26</v>
      </c>
      <c r="G10" s="25" t="s">
        <v>24</v>
      </c>
      <c r="H10" s="25" t="s">
        <v>5</v>
      </c>
      <c r="I10" s="25" t="s">
        <v>20</v>
      </c>
      <c r="J10" s="26" t="s">
        <v>8</v>
      </c>
      <c r="K10" s="26" t="s">
        <v>21</v>
      </c>
      <c r="L10" s="26" t="s">
        <v>22</v>
      </c>
      <c r="M10" s="25" t="s">
        <v>23</v>
      </c>
      <c r="N10" s="25" t="s">
        <v>6</v>
      </c>
    </row>
    <row r="11" spans="1:24" x14ac:dyDescent="0.25">
      <c r="C11" s="8"/>
      <c r="D11" s="25" t="s">
        <v>13</v>
      </c>
      <c r="E11" s="25" t="s">
        <v>14</v>
      </c>
      <c r="F11" s="27"/>
      <c r="G11" s="30" t="s">
        <v>19</v>
      </c>
      <c r="H11" s="30" t="s">
        <v>19</v>
      </c>
      <c r="I11" s="28"/>
      <c r="J11" s="29"/>
      <c r="K11" s="29"/>
      <c r="L11" s="29"/>
      <c r="M11" s="30"/>
      <c r="N11" s="30" t="s">
        <v>18</v>
      </c>
    </row>
    <row r="12" spans="1:24" x14ac:dyDescent="0.25">
      <c r="B12" s="56">
        <f>IF(C13=1,1,0)</f>
        <v>1</v>
      </c>
      <c r="C12" s="57">
        <f>IF(E12&lt;&gt;0,1,0)</f>
        <v>1</v>
      </c>
      <c r="D12" s="36">
        <v>1</v>
      </c>
      <c r="E12" s="44">
        <v>-80</v>
      </c>
      <c r="F12" s="41"/>
      <c r="G12" s="9"/>
      <c r="H12" s="9"/>
      <c r="I12" s="9"/>
      <c r="J12" s="9"/>
      <c r="K12" s="9"/>
      <c r="L12" s="10"/>
      <c r="M12" s="11"/>
      <c r="N12" s="11" t="str">
        <f t="shared" ref="N12:N19" si="0">IF(AND(D12&gt;=$C$22,D12&lt;=$C$23),"Yes","No")</f>
        <v>No</v>
      </c>
    </row>
    <row r="13" spans="1:24" x14ac:dyDescent="0.25">
      <c r="B13" s="56">
        <f>IF(C14=1,1,0)</f>
        <v>1</v>
      </c>
      <c r="C13" s="58">
        <f t="shared" ref="C13:C19" si="1">IF(E13&lt;&gt;0,1,0)</f>
        <v>1</v>
      </c>
      <c r="D13" s="37">
        <v>10</v>
      </c>
      <c r="E13" s="45">
        <v>-90</v>
      </c>
      <c r="F13" s="40">
        <f t="shared" ref="F13:F14" si="2">D13-D12</f>
        <v>9</v>
      </c>
      <c r="G13" s="12">
        <f t="shared" ref="G13:G14" si="3">10*LOG10(F13)</f>
        <v>9.5424250943932485</v>
      </c>
      <c r="H13" s="12">
        <f t="shared" ref="H13:H19" si="4">IFERROR(AVERAGE(E12,E13),0)</f>
        <v>-85</v>
      </c>
      <c r="I13" s="13">
        <f t="shared" ref="I13:I14" si="5">SUM(G13:H13)</f>
        <v>-75.457574905606748</v>
      </c>
      <c r="J13" s="14">
        <f t="shared" ref="J13:J14" si="6">SQRT(2*10^(I13/10))</f>
        <v>2.3858121863011499E-4</v>
      </c>
      <c r="K13" s="14">
        <f t="shared" ref="K13:K23" si="7">IFERROR(J13/(2*PI()*$D$7),0)</f>
        <v>7.9107042237231228E-13</v>
      </c>
      <c r="L13" s="15">
        <f t="shared" ref="L13:L14" si="8">K13*1000000000000</f>
        <v>0.79107042237231229</v>
      </c>
      <c r="M13" s="16">
        <f t="shared" ref="M13:M14" si="9">L13^2</f>
        <v>0.6257924131523086</v>
      </c>
      <c r="N13" s="16" t="str">
        <f t="shared" si="0"/>
        <v>No</v>
      </c>
    </row>
    <row r="14" spans="1:24" x14ac:dyDescent="0.25">
      <c r="B14" s="56">
        <f t="shared" ref="B14:B19" si="10">IF(C15=1,1,0)</f>
        <v>1</v>
      </c>
      <c r="C14" s="58">
        <f t="shared" si="1"/>
        <v>1</v>
      </c>
      <c r="D14" s="37">
        <v>100</v>
      </c>
      <c r="E14" s="45">
        <v>-100</v>
      </c>
      <c r="F14" s="40">
        <f t="shared" si="2"/>
        <v>90</v>
      </c>
      <c r="G14" s="12">
        <f t="shared" si="3"/>
        <v>19.542425094393248</v>
      </c>
      <c r="H14" s="12">
        <f>IFERROR(AVERAGE(E13,E14),0)</f>
        <v>-95</v>
      </c>
      <c r="I14" s="13">
        <f t="shared" si="5"/>
        <v>-75.457574905606748</v>
      </c>
      <c r="J14" s="14">
        <f t="shared" si="6"/>
        <v>2.3858121863011499E-4</v>
      </c>
      <c r="K14" s="14">
        <f t="shared" si="7"/>
        <v>7.9107042237231228E-13</v>
      </c>
      <c r="L14" s="15">
        <f t="shared" si="8"/>
        <v>0.79107042237231229</v>
      </c>
      <c r="M14" s="16">
        <f t="shared" si="9"/>
        <v>0.6257924131523086</v>
      </c>
      <c r="N14" s="16" t="str">
        <f t="shared" si="0"/>
        <v>No</v>
      </c>
      <c r="O14" s="22"/>
      <c r="P14" s="22"/>
    </row>
    <row r="15" spans="1:24" x14ac:dyDescent="0.25">
      <c r="B15" s="56">
        <f t="shared" si="10"/>
        <v>1</v>
      </c>
      <c r="C15" s="58">
        <f t="shared" si="1"/>
        <v>1</v>
      </c>
      <c r="D15" s="37">
        <v>1000</v>
      </c>
      <c r="E15" s="45">
        <v>-110</v>
      </c>
      <c r="F15" s="40">
        <f>D15-D14</f>
        <v>900</v>
      </c>
      <c r="G15" s="12">
        <f>10*LOG10(F15)</f>
        <v>29.542425094393248</v>
      </c>
      <c r="H15" s="12">
        <f t="shared" si="4"/>
        <v>-105</v>
      </c>
      <c r="I15" s="13">
        <f>SUM(G15:H15)</f>
        <v>-75.457574905606748</v>
      </c>
      <c r="J15" s="14">
        <f>SQRT(2*10^(I15/10))</f>
        <v>2.3858121863011499E-4</v>
      </c>
      <c r="K15" s="14">
        <f>IFERROR(J15/(2*PI()*$D$7),0)</f>
        <v>7.9107042237231228E-13</v>
      </c>
      <c r="L15" s="47">
        <f>K15*1000000000000</f>
        <v>0.79107042237231229</v>
      </c>
      <c r="M15" s="16">
        <f t="shared" ref="M15:M19" si="11">L15^2</f>
        <v>0.6257924131523086</v>
      </c>
      <c r="N15" s="16" t="str">
        <f t="shared" si="0"/>
        <v>No</v>
      </c>
      <c r="O15" s="22"/>
      <c r="P15" s="22"/>
    </row>
    <row r="16" spans="1:24" x14ac:dyDescent="0.25">
      <c r="B16" s="56">
        <f t="shared" si="10"/>
        <v>1</v>
      </c>
      <c r="C16" s="58">
        <f t="shared" si="1"/>
        <v>1</v>
      </c>
      <c r="D16" s="37">
        <v>10000</v>
      </c>
      <c r="E16" s="45">
        <v>-120</v>
      </c>
      <c r="F16" s="40">
        <f>D16-D15</f>
        <v>9000</v>
      </c>
      <c r="G16" s="12">
        <f>10*LOG10(F16)</f>
        <v>39.542425094393245</v>
      </c>
      <c r="H16" s="12">
        <f t="shared" si="4"/>
        <v>-115</v>
      </c>
      <c r="I16" s="13">
        <f>SUM(G16:H16)</f>
        <v>-75.457574905606748</v>
      </c>
      <c r="J16" s="14">
        <f>SQRT(2*10^(I16/10))</f>
        <v>2.3858121863011499E-4</v>
      </c>
      <c r="K16" s="14">
        <f t="shared" si="7"/>
        <v>7.9107042237231228E-13</v>
      </c>
      <c r="L16" s="15">
        <f t="shared" ref="L16:L19" si="12">K16*1000000000000</f>
        <v>0.79107042237231229</v>
      </c>
      <c r="M16" s="16">
        <f t="shared" si="11"/>
        <v>0.6257924131523086</v>
      </c>
      <c r="N16" s="16" t="str">
        <f t="shared" si="0"/>
        <v>No</v>
      </c>
      <c r="O16" s="22"/>
      <c r="P16" s="22"/>
    </row>
    <row r="17" spans="2:16" x14ac:dyDescent="0.25">
      <c r="B17" s="56">
        <f t="shared" si="10"/>
        <v>1</v>
      </c>
      <c r="C17" s="58">
        <f t="shared" si="1"/>
        <v>1</v>
      </c>
      <c r="D17" s="37">
        <v>100000</v>
      </c>
      <c r="E17" s="45">
        <v>-130</v>
      </c>
      <c r="F17" s="40">
        <f>D17-D16</f>
        <v>90000</v>
      </c>
      <c r="G17" s="12">
        <f>10*LOG10(F17)</f>
        <v>49.542425094393252</v>
      </c>
      <c r="H17" s="12">
        <f t="shared" si="4"/>
        <v>-125</v>
      </c>
      <c r="I17" s="13">
        <f t="shared" ref="I17:I18" si="13">SUM(G17:H17)</f>
        <v>-75.457574905606748</v>
      </c>
      <c r="J17" s="14">
        <f>SQRT(2*10^(I17/10))</f>
        <v>2.3858121863011499E-4</v>
      </c>
      <c r="K17" s="14">
        <f t="shared" si="7"/>
        <v>7.9107042237231228E-13</v>
      </c>
      <c r="L17" s="15">
        <f t="shared" si="12"/>
        <v>0.79107042237231229</v>
      </c>
      <c r="M17" s="16">
        <f t="shared" si="11"/>
        <v>0.6257924131523086</v>
      </c>
      <c r="N17" s="16" t="str">
        <f t="shared" si="0"/>
        <v>Yes</v>
      </c>
      <c r="O17" s="22"/>
      <c r="P17" s="22"/>
    </row>
    <row r="18" spans="2:16" x14ac:dyDescent="0.25">
      <c r="B18" s="56">
        <f t="shared" si="10"/>
        <v>1</v>
      </c>
      <c r="C18" s="58">
        <f t="shared" si="1"/>
        <v>1</v>
      </c>
      <c r="D18" s="37">
        <v>1000000</v>
      </c>
      <c r="E18" s="45">
        <v>-140</v>
      </c>
      <c r="F18" s="40">
        <f t="shared" ref="F18:F19" si="14">D18-D17</f>
        <v>900000</v>
      </c>
      <c r="G18" s="12">
        <f>10*LOG10(F18)</f>
        <v>59.542425094393252</v>
      </c>
      <c r="H18" s="12">
        <f t="shared" si="4"/>
        <v>-135</v>
      </c>
      <c r="I18" s="13">
        <f t="shared" si="13"/>
        <v>-75.457574905606748</v>
      </c>
      <c r="J18" s="14">
        <f t="shared" ref="J18" si="15">SQRT(2*10^(I18/10))</f>
        <v>2.3858121863011499E-4</v>
      </c>
      <c r="K18" s="14">
        <f t="shared" si="7"/>
        <v>7.9107042237231228E-13</v>
      </c>
      <c r="L18" s="15">
        <f t="shared" si="12"/>
        <v>0.79107042237231229</v>
      </c>
      <c r="M18" s="16">
        <f t="shared" si="11"/>
        <v>0.6257924131523086</v>
      </c>
      <c r="N18" s="16" t="str">
        <f t="shared" si="0"/>
        <v>Yes</v>
      </c>
      <c r="O18" s="22"/>
      <c r="P18" s="22"/>
    </row>
    <row r="19" spans="2:16" x14ac:dyDescent="0.25">
      <c r="B19" s="56">
        <f t="shared" si="10"/>
        <v>0</v>
      </c>
      <c r="C19" s="59">
        <f t="shared" si="1"/>
        <v>1</v>
      </c>
      <c r="D19" s="38">
        <v>20000000</v>
      </c>
      <c r="E19" s="46">
        <v>-150</v>
      </c>
      <c r="F19" s="42">
        <f t="shared" si="14"/>
        <v>19000000</v>
      </c>
      <c r="G19" s="17">
        <f>10*LOG10(F19)</f>
        <v>72.787536009528282</v>
      </c>
      <c r="H19" s="17">
        <f t="shared" si="4"/>
        <v>-145</v>
      </c>
      <c r="I19" s="18">
        <f>SUM(G19:H19)</f>
        <v>-72.212463990471718</v>
      </c>
      <c r="J19" s="19">
        <f>SQRT(2*10^(I19/10))</f>
        <v>3.4665047394515146E-4</v>
      </c>
      <c r="K19" s="19">
        <f t="shared" si="7"/>
        <v>1.1493986761149819E-12</v>
      </c>
      <c r="L19" s="20">
        <f t="shared" si="12"/>
        <v>1.1493986761149819</v>
      </c>
      <c r="M19" s="21">
        <f t="shared" si="11"/>
        <v>1.3211173166548731</v>
      </c>
      <c r="N19" s="21" t="str">
        <f t="shared" si="0"/>
        <v>No</v>
      </c>
      <c r="O19" s="22"/>
      <c r="P19" s="22"/>
    </row>
    <row r="20" spans="2:16" x14ac:dyDescent="0.25">
      <c r="K20" s="22"/>
    </row>
    <row r="21" spans="2:16" x14ac:dyDescent="0.25">
      <c r="B21" s="5" t="s">
        <v>28</v>
      </c>
      <c r="C21" s="5"/>
      <c r="D21" s="5"/>
      <c r="G21" s="5"/>
      <c r="H21" s="5"/>
      <c r="M21" s="5"/>
      <c r="N21" s="5"/>
    </row>
    <row r="22" spans="2:16" x14ac:dyDescent="0.25">
      <c r="B22" s="35" t="s">
        <v>16</v>
      </c>
      <c r="C22" s="39">
        <v>12000</v>
      </c>
      <c r="D22" s="1" t="s">
        <v>1</v>
      </c>
      <c r="E22" s="55">
        <f ca="1">IFERROR(FORECAST(C22,OFFSET($E$12:$E$19,MATCH(C22,$D$12:$D$19,1)-1,0,2), OFFSET($D$12:$D$19,MATCH(C22,$D$12:$D$19,1)-1,0,2)),0)</f>
        <v>-120.22222222222221</v>
      </c>
      <c r="F22" s="48">
        <f>$C$22-VLOOKUP($C$22,$D$12:$D$19,1,TRUE)</f>
        <v>2000</v>
      </c>
      <c r="G22" s="48">
        <f>IFERROR(10*LOG10(F22),0)</f>
        <v>33.010299956639813</v>
      </c>
      <c r="H22" s="48">
        <f ca="1">IFERROR(AVERAGE(VLOOKUP(C22,$D$12:$E$19,2,TRUE),E22),0)</f>
        <v>-120.11111111111111</v>
      </c>
      <c r="I22" s="48">
        <f ca="1">SUM(G22:H22)</f>
        <v>-87.100811154471302</v>
      </c>
      <c r="J22" s="49">
        <f ca="1">SQRT(2*10^(I22/10))</f>
        <v>6.2441659989356617E-5</v>
      </c>
      <c r="K22" s="49">
        <f ca="1">IFERROR(J22/(2*PI()*$D$7),0)</f>
        <v>2.0703955921186522E-13</v>
      </c>
      <c r="L22" s="50">
        <f ca="1">K22*1000000000000</f>
        <v>0.20703955921186523</v>
      </c>
      <c r="M22" s="51">
        <f t="shared" ref="M22" ca="1" si="16">L22^2</f>
        <v>4.2865379078643448E-2</v>
      </c>
      <c r="N22" s="48" t="str">
        <f>IF(IFERROR(MATCH(C22,D12:D19,0),"yes")="Yes","Yes","No")</f>
        <v>Yes</v>
      </c>
    </row>
    <row r="23" spans="2:16" x14ac:dyDescent="0.25">
      <c r="B23" s="35" t="s">
        <v>15</v>
      </c>
      <c r="C23" s="39">
        <v>5000000</v>
      </c>
      <c r="D23" s="1" t="s">
        <v>1</v>
      </c>
      <c r="E23" s="55">
        <f ca="1">IFERROR(FORECAST(C23,OFFSET($E$12:$E$19,MATCH(C23,$D$12:$D$19,1)-1,0,2), OFFSET($D$12:$D$19,MATCH(C23,$D$12:$D$19,1)-1,0,2)),0)</f>
        <v>-142.10526315789474</v>
      </c>
      <c r="F23" s="48">
        <f>$C$23-VLOOKUP($C$23,$D$12:$D$19,1,TRUE)</f>
        <v>4000000</v>
      </c>
      <c r="G23" s="48">
        <f>IFERROR(10*LOG10(F23),0)</f>
        <v>66.020599913279625</v>
      </c>
      <c r="H23" s="48">
        <f ca="1">IFERROR(AVERAGE(VLOOKUP(C23,$D$12:$E$19,2,TRUE),E23),0)</f>
        <v>-141.05263157894737</v>
      </c>
      <c r="I23" s="48">
        <f ca="1">SUM(G23:H23)</f>
        <v>-75.032031665667745</v>
      </c>
      <c r="J23" s="49">
        <f ca="1">SQRT(2*10^(I23/10))</f>
        <v>2.5056096589077252E-4</v>
      </c>
      <c r="K23" s="49">
        <f t="shared" ca="1" si="7"/>
        <v>8.3079200557075475E-13</v>
      </c>
      <c r="L23" s="52">
        <f t="shared" ref="L23" ca="1" si="17">K23*1000000000000</f>
        <v>0.83079200557075472</v>
      </c>
      <c r="M23" s="51">
        <f t="shared" ref="M23" ca="1" si="18">L23^2</f>
        <v>0.69021535652027699</v>
      </c>
      <c r="N23" s="48" t="str">
        <f>IF(IFERROR(MATCH(C23,D12:D19,0),"yes")="Yes","Yes","No")</f>
        <v>Yes</v>
      </c>
    </row>
    <row r="25" spans="2:16" x14ac:dyDescent="0.25">
      <c r="C25" s="54" t="str">
        <f>IF(C22&gt;C23,"Stop band must be larger than start band","")</f>
        <v/>
      </c>
    </row>
    <row r="26" spans="2:16" x14ac:dyDescent="0.25">
      <c r="C26" s="54" t="str">
        <f>IF(C22&lt;VLOOKUP(1,C12:D19,2,FALSE),"Start band must be within the data range","")</f>
        <v/>
      </c>
      <c r="I26" s="32"/>
      <c r="J26" s="31" t="s">
        <v>29</v>
      </c>
      <c r="K26" s="43">
        <f ca="1">SQRT(SUMIF(N12:N23,"=yes",M12:M23))</f>
        <v>1.4087815877216516</v>
      </c>
      <c r="L26" s="5" t="s">
        <v>4</v>
      </c>
    </row>
    <row r="27" spans="2:16" x14ac:dyDescent="0.25">
      <c r="C27" s="54" t="str">
        <f>IF(C23&gt;VLOOKUP(0,B12:D19,3,FALSE),"Stop band must be within the data range","")</f>
        <v/>
      </c>
    </row>
    <row r="28" spans="2:16" x14ac:dyDescent="0.25">
      <c r="I28" s="32"/>
      <c r="J28" s="31" t="s">
        <v>29</v>
      </c>
      <c r="K28" s="33">
        <f ca="1">K26*1000</f>
        <v>1408.7815877216517</v>
      </c>
      <c r="L28" s="5" t="s">
        <v>3</v>
      </c>
    </row>
    <row r="31" spans="2:16" x14ac:dyDescent="0.25">
      <c r="E31" s="62" t="s">
        <v>31</v>
      </c>
      <c r="F31" s="63"/>
      <c r="G31" s="63"/>
      <c r="H31" s="63"/>
      <c r="I31" s="63"/>
      <c r="J31" s="63"/>
      <c r="K31" s="63"/>
    </row>
    <row r="32" spans="2:16" x14ac:dyDescent="0.25">
      <c r="E32" s="63"/>
      <c r="F32" s="63"/>
      <c r="G32" s="63"/>
      <c r="H32" s="63"/>
      <c r="I32" s="63"/>
      <c r="J32" s="63"/>
      <c r="K32" s="63"/>
    </row>
    <row r="33" spans="5:11" x14ac:dyDescent="0.25">
      <c r="E33" s="63"/>
      <c r="F33" s="63"/>
      <c r="G33" s="63"/>
      <c r="H33" s="63"/>
      <c r="I33" s="63"/>
      <c r="J33" s="63"/>
      <c r="K33" s="63"/>
    </row>
    <row r="34" spans="5:11" x14ac:dyDescent="0.25">
      <c r="E34" s="63"/>
      <c r="F34" s="63"/>
      <c r="G34" s="63"/>
      <c r="H34" s="63"/>
      <c r="I34" s="63"/>
      <c r="J34" s="63"/>
      <c r="K34" s="63"/>
    </row>
    <row r="35" spans="5:11" x14ac:dyDescent="0.25">
      <c r="E35" s="63"/>
      <c r="F35" s="63"/>
      <c r="G35" s="63"/>
      <c r="H35" s="63"/>
      <c r="I35" s="63"/>
      <c r="J35" s="63"/>
      <c r="K35" s="63"/>
    </row>
  </sheetData>
  <mergeCells count="3">
    <mergeCell ref="A5:K5"/>
    <mergeCell ref="O5:X5"/>
    <mergeCell ref="E31:K35"/>
  </mergeCells>
  <conditionalFormatting sqref="B22:B23">
    <cfRule type="duplicateValues" dxfId="1" priority="1"/>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X42"/>
  <sheetViews>
    <sheetView workbookViewId="0">
      <selection activeCell="A52" sqref="A52"/>
    </sheetView>
  </sheetViews>
  <sheetFormatPr defaultRowHeight="15" x14ac:dyDescent="0.25"/>
  <cols>
    <col min="1" max="1" width="13.28515625" style="1" customWidth="1"/>
    <col min="2" max="2" width="12.5703125" style="1" customWidth="1"/>
    <col min="3" max="3" width="24.7109375" style="1" bestFit="1" customWidth="1"/>
    <col min="4" max="4" width="11.140625" style="1" customWidth="1"/>
    <col min="5" max="5" width="14.5703125" style="1" customWidth="1"/>
    <col min="6" max="7" width="13.5703125" style="1" customWidth="1"/>
    <col min="8" max="8" width="12.28515625" style="1" bestFit="1" customWidth="1"/>
    <col min="9" max="9" width="12" style="1" bestFit="1" customWidth="1"/>
    <col min="10" max="10" width="12.28515625" style="2" customWidth="1"/>
    <col min="11" max="11" width="14.28515625" style="3" customWidth="1"/>
    <col min="12" max="14" width="10.42578125" style="1" customWidth="1"/>
    <col min="15" max="15" width="10.140625" style="1" bestFit="1" customWidth="1"/>
    <col min="16" max="16384" width="9.140625" style="1"/>
  </cols>
  <sheetData>
    <row r="5" spans="1:24" s="4" customFormat="1" ht="24.75" customHeight="1" x14ac:dyDescent="0.35">
      <c r="A5" s="60" t="s">
        <v>9</v>
      </c>
      <c r="B5" s="60"/>
      <c r="C5" s="60"/>
      <c r="D5" s="60"/>
      <c r="E5" s="60"/>
      <c r="F5" s="60"/>
      <c r="G5" s="60"/>
      <c r="H5" s="60"/>
      <c r="I5" s="60"/>
      <c r="J5" s="60"/>
      <c r="K5" s="60"/>
      <c r="O5" s="61" t="str">
        <f>"PHASE NOISE PLOT"</f>
        <v>PHASE NOISE PLOT</v>
      </c>
      <c r="P5" s="61"/>
      <c r="Q5" s="61"/>
      <c r="R5" s="61"/>
      <c r="S5" s="61"/>
      <c r="T5" s="61"/>
      <c r="U5" s="61"/>
      <c r="V5" s="61"/>
      <c r="W5" s="61"/>
      <c r="X5" s="61"/>
    </row>
    <row r="6" spans="1:24" s="4" customFormat="1" x14ac:dyDescent="0.25">
      <c r="A6" s="1"/>
      <c r="B6" s="1"/>
      <c r="C6" s="1"/>
      <c r="D6" s="1"/>
      <c r="E6" s="1"/>
      <c r="F6" s="1"/>
      <c r="G6" s="1"/>
      <c r="H6" s="1"/>
      <c r="I6" s="1"/>
      <c r="J6" s="2"/>
      <c r="K6" s="3"/>
    </row>
    <row r="7" spans="1:24" x14ac:dyDescent="0.25">
      <c r="C7" s="34" t="s">
        <v>10</v>
      </c>
      <c r="D7" s="53">
        <v>48000000</v>
      </c>
      <c r="E7" s="5" t="s">
        <v>1</v>
      </c>
    </row>
    <row r="9" spans="1:24" x14ac:dyDescent="0.25">
      <c r="C9" s="6"/>
      <c r="D9" s="23" t="s">
        <v>11</v>
      </c>
      <c r="E9" s="23" t="s">
        <v>12</v>
      </c>
      <c r="F9" s="23" t="s">
        <v>2</v>
      </c>
      <c r="G9" s="23" t="s">
        <v>27</v>
      </c>
      <c r="H9" s="23" t="s">
        <v>25</v>
      </c>
      <c r="I9" s="23" t="s">
        <v>5</v>
      </c>
      <c r="J9" s="24" t="s">
        <v>6</v>
      </c>
      <c r="K9" s="24" t="s">
        <v>6</v>
      </c>
      <c r="L9" s="24" t="s">
        <v>6</v>
      </c>
      <c r="M9" s="23" t="s">
        <v>7</v>
      </c>
      <c r="N9" s="23" t="s">
        <v>17</v>
      </c>
    </row>
    <row r="10" spans="1:24" x14ac:dyDescent="0.25">
      <c r="C10" s="7"/>
      <c r="D10" s="25" t="s">
        <v>0</v>
      </c>
      <c r="E10" s="25" t="s">
        <v>5</v>
      </c>
      <c r="F10" s="25" t="s">
        <v>26</v>
      </c>
      <c r="G10" s="25" t="s">
        <v>24</v>
      </c>
      <c r="H10" s="25" t="s">
        <v>5</v>
      </c>
      <c r="I10" s="25" t="s">
        <v>20</v>
      </c>
      <c r="J10" s="26" t="s">
        <v>8</v>
      </c>
      <c r="K10" s="26" t="s">
        <v>21</v>
      </c>
      <c r="L10" s="26" t="s">
        <v>22</v>
      </c>
      <c r="M10" s="25" t="s">
        <v>23</v>
      </c>
      <c r="N10" s="25" t="s">
        <v>6</v>
      </c>
    </row>
    <row r="11" spans="1:24" x14ac:dyDescent="0.25">
      <c r="C11" s="8"/>
      <c r="D11" s="25" t="s">
        <v>13</v>
      </c>
      <c r="E11" s="25" t="s">
        <v>14</v>
      </c>
      <c r="F11" s="27"/>
      <c r="G11" s="30" t="s">
        <v>19</v>
      </c>
      <c r="H11" s="30" t="s">
        <v>19</v>
      </c>
      <c r="I11" s="28"/>
      <c r="J11" s="29"/>
      <c r="K11" s="29"/>
      <c r="L11" s="29"/>
      <c r="M11" s="30"/>
      <c r="N11" s="30" t="s">
        <v>18</v>
      </c>
    </row>
    <row r="12" spans="1:24" x14ac:dyDescent="0.25">
      <c r="B12" s="56">
        <f>IF(C13=1,1,0)</f>
        <v>1</v>
      </c>
      <c r="C12" s="57">
        <f>IF(E12&lt;&gt;0,1,0)</f>
        <v>0</v>
      </c>
      <c r="D12" s="36">
        <v>1</v>
      </c>
      <c r="E12" s="44"/>
      <c r="F12" s="41"/>
      <c r="G12" s="9"/>
      <c r="H12" s="9"/>
      <c r="I12" s="9"/>
      <c r="J12" s="9"/>
      <c r="K12" s="9"/>
      <c r="L12" s="10"/>
      <c r="M12" s="11"/>
      <c r="N12" s="11" t="str">
        <f t="shared" ref="N12:N19" si="0">IF(AND(D12&gt;=$C$22,D12&lt;=$C$23),"Yes","No")</f>
        <v>No</v>
      </c>
    </row>
    <row r="13" spans="1:24" x14ac:dyDescent="0.25">
      <c r="B13" s="56">
        <f>IF(C14=1,1,0)</f>
        <v>1</v>
      </c>
      <c r="C13" s="58">
        <f t="shared" ref="C13:C15" si="1">IF(E13&lt;&gt;0,1,0)</f>
        <v>1</v>
      </c>
      <c r="D13" s="37">
        <v>10</v>
      </c>
      <c r="E13" s="45">
        <v>-73.5</v>
      </c>
      <c r="F13" s="40">
        <f t="shared" ref="F13:F14" si="2">D13-D12</f>
        <v>9</v>
      </c>
      <c r="G13" s="12">
        <f t="shared" ref="G13:G14" si="3">10*LOG10(F13)</f>
        <v>9.5424250943932485</v>
      </c>
      <c r="H13" s="12">
        <f t="shared" ref="H13:H15" si="4">IFERROR(AVERAGE(E12,E13),0)</f>
        <v>-73.5</v>
      </c>
      <c r="I13" s="13">
        <f t="shared" ref="I13:I14" si="5">SUM(G13:H13)</f>
        <v>-63.957574905606748</v>
      </c>
      <c r="J13" s="14">
        <f t="shared" ref="J13:J14" si="6">SQRT(2*10^(I13/10))</f>
        <v>8.9667745921916283E-4</v>
      </c>
      <c r="K13" s="14">
        <f t="shared" ref="K13:K23" si="7">IFERROR(J13/(2*PI()*$D$7),0)</f>
        <v>2.9731385415377327E-12</v>
      </c>
      <c r="L13" s="15">
        <f t="shared" ref="L13:L14" si="8">K13*1000000000000</f>
        <v>2.9731385415377325</v>
      </c>
      <c r="M13" s="16">
        <f t="shared" ref="M13:M19" si="9">L13^2</f>
        <v>8.8395527871771158</v>
      </c>
      <c r="N13" s="16" t="str">
        <f t="shared" si="0"/>
        <v>No</v>
      </c>
    </row>
    <row r="14" spans="1:24" x14ac:dyDescent="0.25">
      <c r="B14" s="56">
        <f t="shared" ref="B14:B19" si="10">IF(C15=1,1,0)</f>
        <v>1</v>
      </c>
      <c r="C14" s="58">
        <f t="shared" si="1"/>
        <v>1</v>
      </c>
      <c r="D14" s="37">
        <v>100</v>
      </c>
      <c r="E14" s="45">
        <v>-101.8</v>
      </c>
      <c r="F14" s="40">
        <f t="shared" si="2"/>
        <v>90</v>
      </c>
      <c r="G14" s="12">
        <f t="shared" si="3"/>
        <v>19.542425094393248</v>
      </c>
      <c r="H14" s="12">
        <f>IFERROR(AVERAGE(E13,E14),0)</f>
        <v>-87.65</v>
      </c>
      <c r="I14" s="13">
        <f t="shared" si="5"/>
        <v>-68.107574905606754</v>
      </c>
      <c r="J14" s="14">
        <f t="shared" si="6"/>
        <v>5.560786901944412E-4</v>
      </c>
      <c r="K14" s="14">
        <f t="shared" si="7"/>
        <v>1.8438056727606665E-12</v>
      </c>
      <c r="L14" s="15">
        <f t="shared" si="8"/>
        <v>1.8438056727606664</v>
      </c>
      <c r="M14" s="16">
        <f t="shared" si="9"/>
        <v>3.3996193589044137</v>
      </c>
      <c r="N14" s="16" t="str">
        <f t="shared" si="0"/>
        <v>No</v>
      </c>
      <c r="O14" s="22"/>
      <c r="P14" s="22"/>
    </row>
    <row r="15" spans="1:24" x14ac:dyDescent="0.25">
      <c r="B15" s="56">
        <f t="shared" si="10"/>
        <v>1</v>
      </c>
      <c r="C15" s="58">
        <f t="shared" si="1"/>
        <v>1</v>
      </c>
      <c r="D15" s="37">
        <v>1000</v>
      </c>
      <c r="E15" s="45">
        <v>-125.9</v>
      </c>
      <c r="F15" s="40">
        <f>D15-D14</f>
        <v>900</v>
      </c>
      <c r="G15" s="12">
        <f>10*LOG10(F15)</f>
        <v>29.542425094393248</v>
      </c>
      <c r="H15" s="12">
        <f t="shared" si="4"/>
        <v>-113.85</v>
      </c>
      <c r="I15" s="13">
        <f>SUM(G15:H15)</f>
        <v>-84.307574905606742</v>
      </c>
      <c r="J15" s="14">
        <f>SQRT(2*10^(I15/10))</f>
        <v>8.6126391679623626E-5</v>
      </c>
      <c r="K15" s="14">
        <f>IFERROR(J15/(2*PI()*$D$7),0)</f>
        <v>2.8557168680168304E-13</v>
      </c>
      <c r="L15" s="47">
        <f>K15*1000000000000</f>
        <v>0.28557168680168304</v>
      </c>
      <c r="M15" s="16">
        <f t="shared" si="9"/>
        <v>8.1551188302758551E-2</v>
      </c>
      <c r="N15" s="16" t="str">
        <f t="shared" si="0"/>
        <v>No</v>
      </c>
      <c r="O15" s="22"/>
      <c r="P15" s="22"/>
    </row>
    <row r="16" spans="1:24" x14ac:dyDescent="0.25">
      <c r="B16" s="56">
        <f t="shared" si="10"/>
        <v>1</v>
      </c>
      <c r="C16" s="58">
        <f>IF(E16&lt;&gt;0,1,0)</f>
        <v>1</v>
      </c>
      <c r="D16" s="37">
        <v>10000</v>
      </c>
      <c r="E16" s="45">
        <v>-139</v>
      </c>
      <c r="F16" s="40">
        <f>D16-D15</f>
        <v>9000</v>
      </c>
      <c r="G16" s="12">
        <f>10*LOG10(F16)</f>
        <v>39.542425094393245</v>
      </c>
      <c r="H16" s="12">
        <f>IFERROR(AVERAGE(E15,E16),0)</f>
        <v>-132.44999999999999</v>
      </c>
      <c r="I16" s="13">
        <f>SUM(G16:H16)</f>
        <v>-92.907574905606737</v>
      </c>
      <c r="J16" s="14">
        <f>SQRT(2*10^(I16/10))</f>
        <v>3.1998988664001796E-5</v>
      </c>
      <c r="K16" s="14">
        <f t="shared" si="7"/>
        <v>1.0609994207952937E-13</v>
      </c>
      <c r="L16" s="15">
        <f t="shared" ref="L16:L19" si="11">K16*1000000000000</f>
        <v>0.10609994207952937</v>
      </c>
      <c r="M16" s="16">
        <f t="shared" si="9"/>
        <v>1.1257197709279488E-2</v>
      </c>
      <c r="N16" s="16" t="str">
        <f t="shared" si="0"/>
        <v>No</v>
      </c>
      <c r="O16" s="22"/>
      <c r="P16" s="22"/>
    </row>
    <row r="17" spans="2:16" x14ac:dyDescent="0.25">
      <c r="B17" s="56">
        <f t="shared" si="10"/>
        <v>1</v>
      </c>
      <c r="C17" s="58">
        <f>IF(E17&lt;&gt;0,1,0)</f>
        <v>1</v>
      </c>
      <c r="D17" s="37">
        <v>100000</v>
      </c>
      <c r="E17" s="45">
        <v>-145.5</v>
      </c>
      <c r="F17" s="40">
        <f>D17-D16</f>
        <v>90000</v>
      </c>
      <c r="G17" s="12">
        <f>10*LOG10(F17)</f>
        <v>49.542425094393252</v>
      </c>
      <c r="H17" s="12">
        <f>IFERROR(AVERAGE(E16,E17),0)</f>
        <v>-142.25</v>
      </c>
      <c r="I17" s="13">
        <f t="shared" ref="I17:I18" si="12">SUM(G17:H17)</f>
        <v>-92.707574905606748</v>
      </c>
      <c r="J17" s="14">
        <f>SQRT(2*10^(I17/10))</f>
        <v>3.2744340859944325E-5</v>
      </c>
      <c r="K17" s="14">
        <f t="shared" si="7"/>
        <v>1.0857132721137629E-13</v>
      </c>
      <c r="L17" s="15">
        <f t="shared" si="11"/>
        <v>0.1085713272113763</v>
      </c>
      <c r="M17" s="16">
        <f t="shared" si="9"/>
        <v>1.178773309243974E-2</v>
      </c>
      <c r="N17" s="16" t="str">
        <f t="shared" si="0"/>
        <v>Yes</v>
      </c>
      <c r="O17" s="22"/>
      <c r="P17" s="22"/>
    </row>
    <row r="18" spans="2:16" x14ac:dyDescent="0.25">
      <c r="B18" s="56">
        <f t="shared" si="10"/>
        <v>1</v>
      </c>
      <c r="C18" s="58">
        <f>IF(E18&lt;&gt;0,1,0)</f>
        <v>1</v>
      </c>
      <c r="D18" s="37">
        <v>1000000</v>
      </c>
      <c r="E18" s="45">
        <v>-150.19999999999999</v>
      </c>
      <c r="F18" s="40">
        <f>D18-D17</f>
        <v>900000</v>
      </c>
      <c r="G18" s="12">
        <f>10*LOG10(F18)</f>
        <v>59.542425094393252</v>
      </c>
      <c r="H18" s="12">
        <f>IFERROR(AVERAGE(E17,E18),0)</f>
        <v>-147.85</v>
      </c>
      <c r="I18" s="13">
        <f t="shared" si="12"/>
        <v>-88.307574905606742</v>
      </c>
      <c r="J18" s="14">
        <f t="shared" ref="J18" si="13">SQRT(2*10^(I18/10))</f>
        <v>5.434207938383634E-5</v>
      </c>
      <c r="K18" s="14">
        <f t="shared" si="7"/>
        <v>1.801835531631194E-13</v>
      </c>
      <c r="L18" s="15">
        <f t="shared" si="11"/>
        <v>0.1801835531631194</v>
      </c>
      <c r="M18" s="16">
        <f t="shared" si="9"/>
        <v>3.2466112830486678E-2</v>
      </c>
      <c r="N18" s="16" t="str">
        <f t="shared" si="0"/>
        <v>Yes</v>
      </c>
      <c r="O18" s="22"/>
      <c r="P18" s="22"/>
    </row>
    <row r="19" spans="2:16" x14ac:dyDescent="0.25">
      <c r="B19" s="56">
        <f t="shared" si="10"/>
        <v>0</v>
      </c>
      <c r="C19" s="59">
        <f>IF(E19&lt;&gt;0,1,0)</f>
        <v>1</v>
      </c>
      <c r="D19" s="38">
        <v>20000000</v>
      </c>
      <c r="E19" s="46">
        <v>-160</v>
      </c>
      <c r="F19" s="42">
        <f>D19-D18</f>
        <v>19000000</v>
      </c>
      <c r="G19" s="17">
        <f>10*LOG10(F19)</f>
        <v>72.787536009528282</v>
      </c>
      <c r="H19" s="17">
        <f>IFERROR(AVERAGE(E18,E19),0)</f>
        <v>-155.1</v>
      </c>
      <c r="I19" s="18">
        <f>SUM(G19:H19)</f>
        <v>-82.312463990471713</v>
      </c>
      <c r="J19" s="19">
        <f>SQRT(2*10^(I19/10))</f>
        <v>1.0836568942036795E-4</v>
      </c>
      <c r="K19" s="19">
        <f t="shared" si="7"/>
        <v>3.5931114860026386E-13</v>
      </c>
      <c r="L19" s="20">
        <f t="shared" si="11"/>
        <v>0.35931114860026386</v>
      </c>
      <c r="M19" s="21">
        <f t="shared" si="9"/>
        <v>0.12910450150844091</v>
      </c>
      <c r="N19" s="21" t="str">
        <f t="shared" si="0"/>
        <v>Yes</v>
      </c>
      <c r="O19" s="22"/>
      <c r="P19" s="22"/>
    </row>
    <row r="20" spans="2:16" x14ac:dyDescent="0.25">
      <c r="K20" s="22"/>
    </row>
    <row r="21" spans="2:16" x14ac:dyDescent="0.25">
      <c r="B21" s="5" t="s">
        <v>28</v>
      </c>
      <c r="C21" s="5"/>
      <c r="D21" s="5"/>
      <c r="G21" s="5"/>
      <c r="H21" s="5"/>
      <c r="M21" s="5"/>
      <c r="N21" s="5"/>
    </row>
    <row r="22" spans="2:16" x14ac:dyDescent="0.25">
      <c r="B22" s="35" t="s">
        <v>16</v>
      </c>
      <c r="C22" s="39">
        <v>12000</v>
      </c>
      <c r="D22" s="1" t="s">
        <v>1</v>
      </c>
      <c r="E22" s="55">
        <f ca="1">IFERROR(FORECAST(C22,OFFSET($E$12:$E$19,MATCH(C22,$D$12:$D$19,1)-1,0,2), OFFSET($D$12:$D$19,MATCH(C22,$D$12:$D$19,1)-1,0,2)),0)</f>
        <v>-139.14444444444445</v>
      </c>
      <c r="F22" s="48">
        <f>$C$22-VLOOKUP($C$22,$D$12:$D$19,1,TRUE)</f>
        <v>2000</v>
      </c>
      <c r="G22" s="48">
        <f>IFERROR(10*LOG10(F22),0)</f>
        <v>33.010299956639813</v>
      </c>
      <c r="H22" s="48">
        <f ca="1">IFERROR(AVERAGE(VLOOKUP(C22,$D$12:$E$19,2,TRUE),E22),0)</f>
        <v>-139.07222222222222</v>
      </c>
      <c r="I22" s="48">
        <f ca="1">SUM(G22:H22)</f>
        <v>-106.06192226558241</v>
      </c>
      <c r="J22" s="49">
        <f ca="1">SQRT(2*10^(I22/10))</f>
        <v>7.0375077245561589E-6</v>
      </c>
      <c r="K22" s="49">
        <f ca="1">IFERROR(J22/(2*PI()*$D$7),0)</f>
        <v>2.3334461279385611E-14</v>
      </c>
      <c r="L22" s="50">
        <f ca="1">K22*1000000000000</f>
        <v>2.3334461279385613E-2</v>
      </c>
      <c r="M22" s="51">
        <f t="shared" ref="M22:M23" ca="1" si="14">L22^2</f>
        <v>5.4449708319914648E-4</v>
      </c>
      <c r="N22" s="48" t="str">
        <f>IF(IFERROR(MATCH(C22,D12:D19,0),"yes")="Yes","Yes","No")</f>
        <v>Yes</v>
      </c>
    </row>
    <row r="23" spans="2:16" x14ac:dyDescent="0.25">
      <c r="B23" s="35" t="s">
        <v>15</v>
      </c>
      <c r="C23" s="39">
        <v>20000000</v>
      </c>
      <c r="D23" s="1" t="s">
        <v>1</v>
      </c>
      <c r="E23" s="55">
        <f ca="1">IFERROR(FORECAST(C23,OFFSET($E$12:$E$19,MATCH(C23,$D$12:$D$19,1)-1,0,2), OFFSET($D$12:$D$19,MATCH(C23,$D$12:$D$19,1)-1,0,2)),0)</f>
        <v>0</v>
      </c>
      <c r="F23" s="48">
        <f>$C$23-VLOOKUP($C$23,$D$12:$D$19,1,TRUE)</f>
        <v>0</v>
      </c>
      <c r="G23" s="48">
        <f>IFERROR(10*LOG10(F23),0)</f>
        <v>0</v>
      </c>
      <c r="H23" s="48">
        <f ca="1">IFERROR(AVERAGE(VLOOKUP(C23,$D$12:$E$19,2,TRUE),E23),0)</f>
        <v>-80</v>
      </c>
      <c r="I23" s="48">
        <f ca="1">SUM(G23:H23)</f>
        <v>-80</v>
      </c>
      <c r="J23" s="49">
        <f ca="1">SQRT(2*10^(I23/10))</f>
        <v>1.4142135623730951E-4</v>
      </c>
      <c r="K23" s="49">
        <f t="shared" ca="1" si="7"/>
        <v>4.6891474799849281E-13</v>
      </c>
      <c r="L23" s="52">
        <f t="shared" ref="L23" ca="1" si="15">K23*1000000000000</f>
        <v>0.46891474799849281</v>
      </c>
      <c r="M23" s="51">
        <f t="shared" ca="1" si="14"/>
        <v>0.21988104089049001</v>
      </c>
      <c r="N23" s="48" t="str">
        <f>IF(IFERROR(MATCH(C23,D12:D19,0),"yes")="Yes","Yes","No")</f>
        <v>No</v>
      </c>
    </row>
    <row r="25" spans="2:16" x14ac:dyDescent="0.25">
      <c r="C25" s="54" t="str">
        <f>IF(C22&gt;C23,"Stop band must be larger than start band","")</f>
        <v/>
      </c>
    </row>
    <row r="26" spans="2:16" x14ac:dyDescent="0.25">
      <c r="C26" s="54" t="str">
        <f>IF(C22&lt;VLOOKUP(1,C12:D19,2,FALSE),"Start band must be within the data range","")</f>
        <v/>
      </c>
      <c r="I26" s="32"/>
      <c r="J26" s="31" t="s">
        <v>29</v>
      </c>
      <c r="K26" s="43">
        <f ca="1">SQRT(SUMIF(N12:N23,"=yes",M12:M23))</f>
        <v>0.41701659980696987</v>
      </c>
      <c r="L26" s="5" t="s">
        <v>4</v>
      </c>
    </row>
    <row r="27" spans="2:16" x14ac:dyDescent="0.25">
      <c r="C27" s="54" t="str">
        <f>IF(C23&gt;VLOOKUP(0,B12:D19,3,FALSE),"Stop band must be within the data range","")</f>
        <v/>
      </c>
    </row>
    <row r="28" spans="2:16" x14ac:dyDescent="0.25">
      <c r="I28" s="32"/>
      <c r="J28" s="31" t="s">
        <v>29</v>
      </c>
      <c r="K28" s="33">
        <f ca="1">K26*1000</f>
        <v>417.01659980696985</v>
      </c>
      <c r="L28" s="5" t="s">
        <v>3</v>
      </c>
    </row>
    <row r="31" spans="2:16" x14ac:dyDescent="0.25">
      <c r="E31" s="62" t="s">
        <v>30</v>
      </c>
      <c r="F31" s="62"/>
      <c r="G31" s="62"/>
      <c r="H31" s="62"/>
      <c r="I31" s="62"/>
      <c r="J31" s="62"/>
      <c r="K31" s="62"/>
      <c r="L31" s="62"/>
    </row>
    <row r="32" spans="2:16" x14ac:dyDescent="0.25">
      <c r="E32" s="62"/>
      <c r="F32" s="62"/>
      <c r="G32" s="62"/>
      <c r="H32" s="62"/>
      <c r="I32" s="62"/>
      <c r="J32" s="62"/>
      <c r="K32" s="62"/>
      <c r="L32" s="62"/>
    </row>
    <row r="33" spans="5:12" x14ac:dyDescent="0.25">
      <c r="E33" s="62"/>
      <c r="F33" s="62"/>
      <c r="G33" s="62"/>
      <c r="H33" s="62"/>
      <c r="I33" s="62"/>
      <c r="J33" s="62"/>
      <c r="K33" s="62"/>
      <c r="L33" s="62"/>
    </row>
    <row r="34" spans="5:12" x14ac:dyDescent="0.25">
      <c r="E34" s="62"/>
      <c r="F34" s="62"/>
      <c r="G34" s="62"/>
      <c r="H34" s="62"/>
      <c r="I34" s="62"/>
      <c r="J34" s="62"/>
      <c r="K34" s="62"/>
      <c r="L34" s="62"/>
    </row>
    <row r="35" spans="5:12" x14ac:dyDescent="0.25">
      <c r="E35" s="62"/>
      <c r="F35" s="62"/>
      <c r="G35" s="62"/>
      <c r="H35" s="62"/>
      <c r="I35" s="62"/>
      <c r="J35" s="62"/>
      <c r="K35" s="62"/>
      <c r="L35" s="62"/>
    </row>
    <row r="36" spans="5:12" x14ac:dyDescent="0.25">
      <c r="E36" s="62"/>
      <c r="F36" s="62"/>
      <c r="G36" s="62"/>
      <c r="H36" s="62"/>
      <c r="I36" s="62"/>
      <c r="J36" s="62"/>
      <c r="K36" s="62"/>
      <c r="L36" s="62"/>
    </row>
    <row r="37" spans="5:12" x14ac:dyDescent="0.25">
      <c r="E37" s="62"/>
      <c r="F37" s="62"/>
      <c r="G37" s="62"/>
      <c r="H37" s="62"/>
      <c r="I37" s="62"/>
      <c r="J37" s="62"/>
      <c r="K37" s="62"/>
      <c r="L37" s="62"/>
    </row>
    <row r="38" spans="5:12" x14ac:dyDescent="0.25">
      <c r="E38" s="62"/>
      <c r="F38" s="62"/>
      <c r="G38" s="62"/>
      <c r="H38" s="62"/>
      <c r="I38" s="62"/>
      <c r="J38" s="62"/>
      <c r="K38" s="62"/>
      <c r="L38" s="62"/>
    </row>
    <row r="39" spans="5:12" x14ac:dyDescent="0.25">
      <c r="E39" s="62"/>
      <c r="F39" s="62"/>
      <c r="G39" s="62"/>
      <c r="H39" s="62"/>
      <c r="I39" s="62"/>
      <c r="J39" s="62"/>
      <c r="K39" s="62"/>
      <c r="L39" s="62"/>
    </row>
    <row r="40" spans="5:12" x14ac:dyDescent="0.25">
      <c r="E40" s="62"/>
      <c r="F40" s="62"/>
      <c r="G40" s="62"/>
      <c r="H40" s="62"/>
      <c r="I40" s="62"/>
      <c r="J40" s="62"/>
      <c r="K40" s="62"/>
      <c r="L40" s="62"/>
    </row>
    <row r="41" spans="5:12" x14ac:dyDescent="0.25">
      <c r="E41" s="62"/>
      <c r="F41" s="62"/>
      <c r="G41" s="62"/>
      <c r="H41" s="62"/>
      <c r="I41" s="62"/>
      <c r="J41" s="62"/>
      <c r="K41" s="62"/>
      <c r="L41" s="62"/>
    </row>
    <row r="42" spans="5:12" x14ac:dyDescent="0.25">
      <c r="E42" s="62"/>
      <c r="F42" s="62"/>
      <c r="G42" s="62"/>
      <c r="H42" s="62"/>
      <c r="I42" s="62"/>
      <c r="J42" s="62"/>
      <c r="K42" s="62"/>
      <c r="L42" s="62"/>
    </row>
  </sheetData>
  <mergeCells count="3">
    <mergeCell ref="A5:K5"/>
    <mergeCell ref="O5:X5"/>
    <mergeCell ref="E31:L42"/>
  </mergeCells>
  <conditionalFormatting sqref="B22:B23">
    <cfRule type="duplicateValues" dxfId="0" priority="1"/>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PN to Jitter </vt:lpstr>
      <vt:lpstr>Example</vt:lpstr>
    </vt:vector>
  </TitlesOfParts>
  <Company>Würth Elektronik eiSos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IQD Frequency Products Phase Noise to Jitter Conversion</dc:title>
  <dc:subject>Phase Noise to Jitter</dc:subject>
  <dc:creator>IQD Frequency Products Ltd</dc:creator>
  <cp:keywords>Phase Noise; JItter; oscillators</cp:keywords>
  <cp:lastModifiedBy>Thompson, Liz</cp:lastModifiedBy>
  <dcterms:created xsi:type="dcterms:W3CDTF">2021-05-11T10:51:33Z</dcterms:created>
  <dcterms:modified xsi:type="dcterms:W3CDTF">2024-08-14T09:58:09Z</dcterms:modified>
  <cp:category>Phase Noise</cp:category>
</cp:coreProperties>
</file>